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CHANGE\datos\raquel\"/>
    </mc:Choice>
  </mc:AlternateContent>
  <xr:revisionPtr revIDLastSave="0" documentId="13_ncr:1_{F52430E6-CAA5-4D90-8D42-C28F7760DF18}" xr6:coauthVersionLast="47" xr6:coauthVersionMax="47" xr10:uidLastSave="{00000000-0000-0000-0000-000000000000}"/>
  <bookViews>
    <workbookView xWindow="-26192" yWindow="1766" windowWidth="26301" windowHeight="14305" xr2:uid="{00000000-000D-0000-FFFF-FFFF00000000}"/>
  </bookViews>
  <sheets>
    <sheet name="CALCULO" sheetId="3" r:id="rId1"/>
    <sheet name="AUXILIAR 2" sheetId="4" state="hidden" r:id="rId2"/>
    <sheet name="AUXILIAR 3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" i="4" l="1"/>
  <c r="O23" i="4"/>
  <c r="O20" i="4"/>
  <c r="F21" i="3"/>
  <c r="D21" i="3" s="1"/>
  <c r="N26" i="4"/>
  <c r="M23" i="4"/>
  <c r="M20" i="4"/>
  <c r="M17" i="4"/>
  <c r="G16" i="3"/>
  <c r="D19" i="3"/>
  <c r="E10" i="3" l="1"/>
  <c r="D22" i="3" s="1"/>
  <c r="F33" i="3" l="1"/>
  <c r="E27" i="3"/>
  <c r="E13" i="3" l="1"/>
  <c r="O10" i="4"/>
  <c r="N9" i="5"/>
  <c r="F8" i="3"/>
  <c r="F7" i="3"/>
  <c r="F6" i="3"/>
  <c r="O17" i="4" s="1"/>
  <c r="N20" i="4" l="1"/>
  <c r="F17" i="3" s="1"/>
  <c r="D17" i="3" s="1"/>
  <c r="N23" i="4"/>
  <c r="F18" i="3" s="1"/>
  <c r="D18" i="3" s="1"/>
  <c r="N17" i="4"/>
  <c r="F16" i="3" s="1"/>
  <c r="D16" i="3" s="1"/>
  <c r="F14" i="5"/>
  <c r="D20" i="3" l="1"/>
  <c r="G5" i="3"/>
  <c r="D23" i="3" l="1"/>
  <c r="D24" i="3" s="1"/>
  <c r="D25" i="3" l="1"/>
</calcChain>
</file>

<file path=xl/sharedStrings.xml><?xml version="1.0" encoding="utf-8"?>
<sst xmlns="http://schemas.openxmlformats.org/spreadsheetml/2006/main" count="144" uniqueCount="82">
  <si>
    <t>explicación</t>
  </si>
  <si>
    <t>Fórmula</t>
  </si>
  <si>
    <t>Seleccionar el tipo de instalación para la que se solicita la ayuda (solo uno)</t>
  </si>
  <si>
    <t>NO</t>
  </si>
  <si>
    <t>Seleccionar SECTOR (solo uno)</t>
  </si>
  <si>
    <t>¿Hay autoconsumo colectivo? (SI/NO)</t>
  </si>
  <si>
    <t>Si es que sí vamos a columna D, para residencial y a F para Administraciones públicas y tercer sector</t>
  </si>
  <si>
    <t>SI(D24&gt;0;"Instalación de almacenamiento";"")</t>
  </si>
  <si>
    <t>Indicar si se elimina cubierta con amianto, la potencia que se instalará sobre dicha cubierta (kWp), solo para Fotovoltaicas</t>
  </si>
  <si>
    <t>Indicar si se instala una nueva marquesina, la potencia que se instalará sobre ella (kWp), solo para Fotovoltaicas</t>
  </si>
  <si>
    <t>Indicar si se instala ALMACENAMIENTO, la capacidad que se instalará (kWh)</t>
  </si>
  <si>
    <t>Si hay, vamos a los rangos 8-11 (fila 14-17). Si el ratio es 2kWh/kW, limitar a este valor</t>
  </si>
  <si>
    <t>Adicional: Si hay, vamos a la columna I</t>
  </si>
  <si>
    <t>CÁLCULO DE LA CUANTÍA DE LA AYUDA SEGÚN BASES (€)</t>
  </si>
  <si>
    <t>Porcentaje de subvención al proyecto</t>
  </si>
  <si>
    <t>Administraciones públicas y tercer sector</t>
  </si>
  <si>
    <t>Actuaciones</t>
  </si>
  <si>
    <t>Módulo</t>
  </si>
  <si>
    <t>Módulo para el caso de autoconsumo colectivo</t>
  </si>
  <si>
    <t>Módulo Eliminación del amianto en cubiertas para proyectos de solar fotovoltaica*</t>
  </si>
  <si>
    <t>Módulo Instalación de marquesinas para proyectos de solar fotovoltaica</t>
  </si>
  <si>
    <t>Ayuda adicional por reto demográfico (€/kW)</t>
  </si>
  <si>
    <t>[Ayuda (€/kWp)]</t>
  </si>
  <si>
    <t>[Ayuda  (€/kWp)]</t>
  </si>
  <si>
    <t>[Ayuda adicional (€/kWp)]</t>
  </si>
  <si>
    <t>Instalación Fotovoltaica autoconsumo (1.000 kWp &lt; P ≤ 5.000 kWp).</t>
  </si>
  <si>
    <t>Instalación Fotovoltaica autoconsumo (100 kWp &lt; P ≤ 1.000 kWp).</t>
  </si>
  <si>
    <t>Instalación Fotovoltaica autoconsumo (10 kWp &lt; P ≤ 100 kWp).</t>
  </si>
  <si>
    <t>Instalación Fotovoltaica autoconsumo (P ≤ 10 kWp).</t>
  </si>
  <si>
    <t>Instalación eólica (500 kW &lt; P ≤ 5.000 kW) para autoconsumo.</t>
  </si>
  <si>
    <t>Instalación eólica (20 kW &lt; P ≤ 500 kW) para autoconsumo.</t>
  </si>
  <si>
    <t>Instalación eólica (P ≤ 20 kW) para autoconsumo.</t>
  </si>
  <si>
    <t>Módulo almacenamiento</t>
  </si>
  <si>
    <t xml:space="preserve">Ayuda adicional por reto demográfico </t>
  </si>
  <si>
    <t>[Ayuda (€/kWh)]</t>
  </si>
  <si>
    <t>Incorporación de almacenamiento al proyecto de instalación de energía renovable para autoconsumo en el sector residencial, las administraciones públicas y el tercer sector (5.000 kWh &lt; P).</t>
  </si>
  <si>
    <t>Incorporación de almacenamiento al proyecto de instalación de energía renovable para autoconsumo en el sector residencial, las administraciones Públicas y el tercer sector (100 kWh &lt; P ≤ 5.000 kWh).</t>
  </si>
  <si>
    <t>Incorporación de almacenamiento al proyecto de instalación de energía renovable para autoconsumo en el sector residencial, las administraciones públicas y el tercer sector (10 kWh &lt; P ≤ 100 kWh).</t>
  </si>
  <si>
    <t>Incorporación de almacenamiento al proyecto de instalación de energía renovable para autoconsumo en el sector residencial, las administraciones públicas y el tercer sector (P ≤ 10 kWh).</t>
  </si>
  <si>
    <t>Eólica</t>
  </si>
  <si>
    <t>Administraciones Públicas y tercer sector</t>
  </si>
  <si>
    <t>C</t>
  </si>
  <si>
    <t>Residencial</t>
  </si>
  <si>
    <t>D</t>
  </si>
  <si>
    <t>En el caso de existir sistema de almacenamiento, deberá tenerse en cuenta que éste no supere una ratio de capacidad instalada de almacenamiento frente a potencia de generación de 2 kWh/kW.</t>
  </si>
  <si>
    <t>E</t>
  </si>
  <si>
    <t>F</t>
  </si>
  <si>
    <t>SI</t>
  </si>
  <si>
    <t>G</t>
  </si>
  <si>
    <t>Amianto</t>
  </si>
  <si>
    <t>H</t>
  </si>
  <si>
    <t>Marquesinas</t>
  </si>
  <si>
    <t>I</t>
  </si>
  <si>
    <t>Reto demográfico</t>
  </si>
  <si>
    <t>Ayudas adicionales</t>
  </si>
  <si>
    <t>Tipo de instalación</t>
  </si>
  <si>
    <t>Tipo de sector</t>
  </si>
  <si>
    <t>SI/NO</t>
  </si>
  <si>
    <t>Pmin</t>
  </si>
  <si>
    <t>Pmax</t>
  </si>
  <si>
    <t>Fotovoltaica</t>
  </si>
  <si>
    <t>Almacenamiento</t>
  </si>
  <si>
    <t>Administraciones públicas y tercer sector + Autoconsumo colectivo</t>
  </si>
  <si>
    <t>Instalación de generación (€)</t>
  </si>
  <si>
    <t>Las tecnologías plomo-ácido para almacenamiento no serán elegibles.</t>
  </si>
  <si>
    <t>Residencial + Autoconsumo colectivo</t>
  </si>
  <si>
    <t>Si no aplica, introducir 0</t>
  </si>
  <si>
    <t>Instrucciones: Rellenar las celdas con la fuente en coloz azul</t>
  </si>
  <si>
    <r>
      <t xml:space="preserve">Ratio de capacidad de almacenamiento </t>
    </r>
    <r>
      <rPr>
        <sz val="11"/>
        <color theme="1"/>
        <rFont val="Calibri"/>
        <family val="2"/>
        <scheme val="minor"/>
      </rPr>
      <t>(solo serán consideradas elegibles las instalaciones de almacenamiento que no superen una ratio de capacidad instalada de almacenamiento frente a potencia de generación de 2 kWh/kW)</t>
    </r>
  </si>
  <si>
    <r>
      <t xml:space="preserve">¿ El municipio en el que se realiza la actuación tiene una población de hasta 5.000 habitantes, o es un municipio no urbano de hasta 20.000 habitantes cuyos urbanos tengan una población menor o igual a 5.000 habitantess? (SI/NO)
</t>
    </r>
    <r>
      <rPr>
        <sz val="11"/>
        <color theme="1"/>
        <rFont val="Calibri"/>
        <family val="2"/>
        <scheme val="minor"/>
      </rPr>
      <t>Revisar municipios incluidos en este enlace: https://www.idae.es/sites/default/files/documentos/ayudas_y_financiacion/webListadoInformativo-MUNICIPIOS_RETO_DEMOGRAFICO.xlsx</t>
    </r>
  </si>
  <si>
    <r>
      <t xml:space="preserve">Tecnología de la batería
</t>
    </r>
    <r>
      <rPr>
        <sz val="11"/>
        <color theme="1"/>
        <rFont val="Calibri"/>
        <family val="2"/>
        <scheme val="minor"/>
      </rPr>
      <t>Las tecnologías plomo-ácido para almacenamiento no serán elegibles</t>
    </r>
  </si>
  <si>
    <t>Introducir la potencia de la instalación de generación (kW para eólica, kWp para fotovoltaica)</t>
  </si>
  <si>
    <t>Cuantía máxima de la ayuda solicitada de los sistemas de energías renovables (€)</t>
  </si>
  <si>
    <t>Cuantía máxima de la ayuda solicitada de los sistemas de almacenamiento (€)</t>
  </si>
  <si>
    <r>
      <t xml:space="preserve">Cálculo ESTIMATIVO de la cuantía de la ayuda según el Real Decreto 477/2021. PROGRAMA DE INCENTIVOS 4
</t>
    </r>
    <r>
      <rPr>
        <b/>
        <sz val="10"/>
        <color theme="1"/>
        <rFont val="Calibri"/>
        <family val="2"/>
        <scheme val="minor"/>
      </rPr>
      <t>(Esta hoja de cálculo es de carácter informativo. En ningún caso supondrá un compromiso por parte de la Administración respecto a la cuantía de la ayuda)</t>
    </r>
    <r>
      <rPr>
        <b/>
        <sz val="20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Para cualquier incidencia detectada en el excel escribir a: ayudas.autoconsumo4@gva.es</t>
    </r>
  </si>
  <si>
    <r>
      <t xml:space="preserve">Cuantía máxima de la ayuda
</t>
    </r>
    <r>
      <rPr>
        <b/>
        <sz val="10"/>
        <color theme="1"/>
        <rFont val="Calibri"/>
        <family val="2"/>
        <scheme val="minor"/>
      </rPr>
      <t>(Este  cálculo es de carácter meramente informativo. 
En ningún caso supondrá un compromiso por parte de la Administración respecto la cuantia de la ayuda)</t>
    </r>
  </si>
  <si>
    <r>
      <t xml:space="preserve">Introducir el coste total de la instalación (€) 
</t>
    </r>
    <r>
      <rPr>
        <sz val="11"/>
        <color theme="1"/>
        <rFont val="Calibri"/>
        <family val="2"/>
        <scheme val="minor"/>
      </rPr>
      <t>El coste total sin IVA si puede compensarse total o parcialmente (autónomos)</t>
    </r>
  </si>
  <si>
    <t>Instalación de almacenamiento (€)</t>
  </si>
  <si>
    <t>Tecnología de la batería</t>
  </si>
  <si>
    <t>Codigo</t>
  </si>
  <si>
    <t>Concepto</t>
  </si>
  <si>
    <t>Descripcion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</si>
</sst>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rgb="FF333333"/>
      <name val="Verdana"/>
      <family val="2"/>
    </font>
    <font>
      <sz val="11"/>
      <color rgb="FF000000"/>
      <name val="Verdana"/>
      <family val="2"/>
    </font>
    <font>
      <b/>
      <sz val="11"/>
      <color rgb="FF4472C4"/>
      <name val="Calibri"/>
      <family val="2"/>
      <scheme val="minor"/>
    </font>
    <font>
      <b/>
      <sz val="10"/>
      <color rgb="FF4472C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 style="medium">
        <color rgb="FFA0B0C0"/>
      </right>
      <top/>
      <bottom style="medium">
        <color rgb="FFA0B0C0"/>
      </bottom>
      <diagonal/>
    </border>
    <border>
      <left/>
      <right/>
      <top/>
      <bottom style="medium">
        <color rgb="FFA0B0C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80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7" xfId="0" applyNumberFormat="1" applyBorder="1" applyAlignment="1">
      <alignment horizontal="center"/>
    </xf>
    <xf numFmtId="9" fontId="0" fillId="0" borderId="18" xfId="1" applyFont="1" applyBorder="1" applyAlignment="1">
      <alignment horizontal="center"/>
    </xf>
    <xf numFmtId="2" fontId="6" fillId="5" borderId="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0" fillId="0" borderId="21" xfId="0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2" fontId="6" fillId="5" borderId="0" xfId="0" applyNumberFormat="1" applyFont="1" applyFill="1" applyBorder="1" applyAlignment="1" applyProtection="1">
      <alignment horizontal="center" vertical="center" wrapText="1"/>
      <protection hidden="1"/>
    </xf>
    <xf numFmtId="164" fontId="14" fillId="5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" fillId="4" borderId="0" xfId="0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9" fontId="0" fillId="0" borderId="0" xfId="1" applyFont="1" applyAlignment="1" applyProtection="1">
      <alignment horizontal="center"/>
      <protection hidden="1"/>
    </xf>
    <xf numFmtId="0" fontId="10" fillId="0" borderId="7" xfId="0" applyFont="1" applyBorder="1" applyAlignment="1" applyProtection="1">
      <alignment horizontal="center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164" fontId="14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44" fontId="0" fillId="0" borderId="0" xfId="2" applyFont="1" applyProtection="1">
      <protection hidden="1"/>
    </xf>
    <xf numFmtId="0" fontId="1" fillId="0" borderId="0" xfId="0" applyFont="1" applyProtection="1">
      <protection hidden="1"/>
    </xf>
    <xf numFmtId="0" fontId="9" fillId="5" borderId="8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8" fillId="5" borderId="9" xfId="0" applyFont="1" applyFill="1" applyBorder="1" applyAlignment="1" applyProtection="1">
      <alignment horizontal="center" vertical="center" wrapText="1"/>
      <protection hidden="1"/>
    </xf>
    <xf numFmtId="0" fontId="8" fillId="5" borderId="8" xfId="0" applyFont="1" applyFill="1" applyBorder="1" applyAlignment="1" applyProtection="1">
      <alignment horizontal="center" vertical="center" wrapText="1"/>
      <protection hidden="1"/>
    </xf>
    <xf numFmtId="0" fontId="8" fillId="5" borderId="10" xfId="0" applyFont="1" applyFill="1" applyBorder="1" applyAlignment="1" applyProtection="1">
      <alignment horizontal="center" vertical="center" wrapText="1"/>
      <protection hidden="1"/>
    </xf>
    <xf numFmtId="0" fontId="9" fillId="5" borderId="8" xfId="0" applyFont="1" applyFill="1" applyBorder="1" applyAlignment="1" applyProtection="1">
      <alignment horizontal="center" vertical="center" wrapText="1"/>
      <protection hidden="1"/>
    </xf>
    <xf numFmtId="3" fontId="9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1" fillId="0" borderId="32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3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5" borderId="9" xfId="0" applyFont="1" applyFill="1" applyBorder="1" applyAlignment="1" applyProtection="1">
      <alignment horizontal="center" vertical="center" wrapText="1"/>
      <protection hidden="1"/>
    </xf>
    <xf numFmtId="0" fontId="8" fillId="5" borderId="10" xfId="0" applyFont="1" applyFill="1" applyBorder="1" applyAlignment="1" applyProtection="1">
      <alignment horizontal="center" vertical="center" wrapText="1"/>
      <protection hidden="1"/>
    </xf>
  </cellXfs>
  <cellStyles count="3">
    <cellStyle name="Moneda" xfId="2" builtinId="4"/>
    <cellStyle name="Normal" xfId="0" builtinId="0"/>
    <cellStyle name="Porcentaje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7"/>
  <sheetViews>
    <sheetView showGridLines="0" tabSelected="1" workbookViewId="0">
      <selection activeCell="D12" sqref="D12"/>
    </sheetView>
  </sheetViews>
  <sheetFormatPr baseColWidth="10" defaultColWidth="11.375" defaultRowHeight="14.3" x14ac:dyDescent="0.25"/>
  <cols>
    <col min="1" max="1" width="3.625" customWidth="1"/>
    <col min="2" max="2" width="22" customWidth="1"/>
    <col min="3" max="3" width="69" customWidth="1"/>
    <col min="4" max="4" width="38.25" customWidth="1"/>
    <col min="5" max="5" width="56.375" hidden="1" customWidth="1"/>
    <col min="6" max="6" width="30.25" hidden="1" customWidth="1"/>
    <col min="7" max="7" width="11.375" hidden="1" customWidth="1"/>
    <col min="12" max="12" width="28.75" customWidth="1"/>
  </cols>
  <sheetData>
    <row r="1" spans="2:7" ht="103.6" customHeight="1" thickBot="1" x14ac:dyDescent="0.3">
      <c r="B1" s="47" t="s">
        <v>74</v>
      </c>
      <c r="C1" s="48"/>
      <c r="D1" s="48"/>
      <c r="E1" s="49"/>
      <c r="F1" s="49"/>
      <c r="G1" s="50"/>
    </row>
    <row r="2" spans="2:7" ht="26.35" customHeight="1" x14ac:dyDescent="0.25">
      <c r="B2" s="52" t="s">
        <v>67</v>
      </c>
      <c r="C2" s="53"/>
      <c r="D2" s="54"/>
      <c r="E2" s="6"/>
      <c r="F2" s="7" t="s">
        <v>0</v>
      </c>
      <c r="G2" s="8" t="s">
        <v>1</v>
      </c>
    </row>
    <row r="3" spans="2:7" x14ac:dyDescent="0.25">
      <c r="B3" s="45" t="s">
        <v>2</v>
      </c>
      <c r="C3" s="51"/>
      <c r="D3" s="22" t="s">
        <v>60</v>
      </c>
      <c r="E3" s="9"/>
      <c r="F3" s="7"/>
      <c r="G3" s="8"/>
    </row>
    <row r="4" spans="2:7" ht="14.95" x14ac:dyDescent="0.25">
      <c r="B4" s="45" t="s">
        <v>4</v>
      </c>
      <c r="C4" s="51"/>
      <c r="D4" s="22" t="s">
        <v>42</v>
      </c>
      <c r="E4" s="9"/>
      <c r="F4" s="7"/>
      <c r="G4" s="8"/>
    </row>
    <row r="5" spans="2:7" x14ac:dyDescent="0.25">
      <c r="B5" s="43" t="s">
        <v>5</v>
      </c>
      <c r="C5" s="44"/>
      <c r="D5" s="23" t="s">
        <v>3</v>
      </c>
      <c r="E5" s="10"/>
      <c r="F5" s="7" t="s">
        <v>6</v>
      </c>
      <c r="G5" s="8" t="str">
        <f>IF(D5="SI","colectivo","")</f>
        <v/>
      </c>
    </row>
    <row r="6" spans="2:7" x14ac:dyDescent="0.25">
      <c r="B6" s="43" t="s">
        <v>71</v>
      </c>
      <c r="C6" s="44"/>
      <c r="D6" s="23">
        <v>0.1</v>
      </c>
      <c r="E6" s="10"/>
      <c r="F6" s="7">
        <f>IF(D6&lt;5000,D6,5000)</f>
        <v>0.1</v>
      </c>
      <c r="G6" s="8" t="s">
        <v>7</v>
      </c>
    </row>
    <row r="7" spans="2:7" ht="36.700000000000003" customHeight="1" x14ac:dyDescent="0.25">
      <c r="B7" s="45" t="s">
        <v>8</v>
      </c>
      <c r="C7" s="57"/>
      <c r="D7" s="23">
        <v>0</v>
      </c>
      <c r="E7" s="10" t="s">
        <v>66</v>
      </c>
      <c r="F7" s="7">
        <f>IF(D7&lt;5000,D7,5000)</f>
        <v>0</v>
      </c>
      <c r="G7" s="8"/>
    </row>
    <row r="8" spans="2:7" ht="30.1" customHeight="1" x14ac:dyDescent="0.25">
      <c r="B8" s="45" t="s">
        <v>9</v>
      </c>
      <c r="C8" s="57"/>
      <c r="D8" s="23">
        <v>0</v>
      </c>
      <c r="E8" s="10" t="s">
        <v>66</v>
      </c>
      <c r="F8" s="7">
        <f>IF(D8&lt;5000,D8,5000)</f>
        <v>0</v>
      </c>
      <c r="G8" s="8"/>
    </row>
    <row r="9" spans="2:7" x14ac:dyDescent="0.25">
      <c r="B9" s="45" t="s">
        <v>10</v>
      </c>
      <c r="C9" s="57"/>
      <c r="D9" s="23">
        <v>0</v>
      </c>
      <c r="E9" s="10" t="s">
        <v>66</v>
      </c>
      <c r="F9" s="7" t="s">
        <v>11</v>
      </c>
      <c r="G9" s="8" t="s">
        <v>44</v>
      </c>
    </row>
    <row r="10" spans="2:7" ht="33.799999999999997" customHeight="1" x14ac:dyDescent="0.25">
      <c r="B10" s="45" t="s">
        <v>70</v>
      </c>
      <c r="C10" s="57"/>
      <c r="D10" s="23" t="s">
        <v>78</v>
      </c>
      <c r="E10" s="25">
        <f>IFERROR(SEARCH("plomo",$D$10),0)</f>
        <v>0</v>
      </c>
      <c r="F10" s="7" t="s">
        <v>64</v>
      </c>
      <c r="G10" s="8"/>
    </row>
    <row r="11" spans="2:7" ht="50.3" customHeight="1" x14ac:dyDescent="0.25">
      <c r="B11" s="45" t="s">
        <v>68</v>
      </c>
      <c r="C11" s="46"/>
      <c r="D11" s="5">
        <v>0</v>
      </c>
      <c r="E11" s="11"/>
      <c r="F11" s="7"/>
      <c r="G11" s="8"/>
    </row>
    <row r="12" spans="2:7" ht="95.3" customHeight="1" x14ac:dyDescent="0.25">
      <c r="B12" s="58" t="s">
        <v>69</v>
      </c>
      <c r="C12" s="59"/>
      <c r="D12" s="23" t="s">
        <v>3</v>
      </c>
      <c r="E12" s="10"/>
      <c r="F12" s="7" t="s">
        <v>12</v>
      </c>
      <c r="G12" s="8"/>
    </row>
    <row r="13" spans="2:7" ht="33.799999999999997" customHeight="1" thickBot="1" x14ac:dyDescent="0.3">
      <c r="B13" s="60" t="s">
        <v>76</v>
      </c>
      <c r="C13" s="61"/>
      <c r="D13" s="24">
        <v>6</v>
      </c>
      <c r="E13" s="12" t="str">
        <f>IF(ISBLANK(D13),"Es necesario introducir el coste total de la instalación","")</f>
        <v/>
      </c>
      <c r="F13" s="13"/>
      <c r="G13" s="14"/>
    </row>
    <row r="14" spans="2:7" ht="21.75" thickBot="1" x14ac:dyDescent="0.3">
      <c r="D14" s="1"/>
      <c r="E14" s="15"/>
      <c r="F14" s="16">
        <v>15</v>
      </c>
      <c r="G14" s="16">
        <v>45</v>
      </c>
    </row>
    <row r="15" spans="2:7" ht="54" customHeight="1" x14ac:dyDescent="0.25">
      <c r="B15" s="62" t="s">
        <v>13</v>
      </c>
      <c r="C15" s="63"/>
      <c r="D15" s="64"/>
      <c r="E15" s="17"/>
      <c r="F15" s="16"/>
      <c r="G15" s="16"/>
    </row>
    <row r="16" spans="2:7" ht="16.3" x14ac:dyDescent="0.25">
      <c r="B16" s="65" t="s">
        <v>63</v>
      </c>
      <c r="C16" s="66"/>
      <c r="D16" s="3">
        <f ca="1">OFFSET(
                 'AUXILIAR 3'!$A$2,
                 MATCH(CALCULO!F16,'AUXILIAR 3'!$A$2:$A$18,0)-1,
                 MATCH(CALCULO!G16,'AUXILIAR 3'!$A$2:$I$2,0)-1,
1,1)*F6</f>
        <v>60</v>
      </c>
      <c r="E16" s="18"/>
      <c r="F16" s="16">
        <f>DSUM('AUXILIAR 2'!L2:P13,'AUXILIAR 2'!L2,'AUXILIAR 2'!L16:P17)</f>
        <v>4</v>
      </c>
      <c r="G16" s="16" t="str">
        <f>CONCATENATE(D4,IF(D5="SI"," + Autoconsumo colectivo",""))</f>
        <v>Residencial</v>
      </c>
    </row>
    <row r="17" spans="2:7" ht="14.95" customHeight="1" x14ac:dyDescent="0.25">
      <c r="B17" s="69" t="s">
        <v>54</v>
      </c>
      <c r="C17" s="2" t="s">
        <v>49</v>
      </c>
      <c r="D17" s="3">
        <f ca="1">IFERROR(OFFSET('AUXILIAR 3'!$A$2,MATCH(CALCULO!F17,'AUXILIAR 3'!$A$2:$A$18,0)-1,MATCH(CALCULO!C17,'AUXILIAR 3'!$A$2:$I$2,0)-1,1,1)*F7,0)</f>
        <v>0</v>
      </c>
      <c r="E17" s="18"/>
      <c r="F17" s="19">
        <f>DSUM('AUXILIAR 2'!L2:P13,'AUXILIAR 2'!L2,'AUXILIAR 2'!L19:P20)</f>
        <v>4</v>
      </c>
      <c r="G17" s="16"/>
    </row>
    <row r="18" spans="2:7" ht="15.8" customHeight="1" x14ac:dyDescent="0.25">
      <c r="B18" s="70"/>
      <c r="C18" s="2" t="s">
        <v>51</v>
      </c>
      <c r="D18" s="3">
        <f ca="1">IFERROR(OFFSET('AUXILIAR 3'!$A$2,MATCH(CALCULO!F18,'AUXILIAR 3'!$A$2:$A$18,0)-1,MATCH(CALCULO!C18,'AUXILIAR 3'!$A$2:$I$2,0)-1,1,1)*F8,0)</f>
        <v>0</v>
      </c>
      <c r="E18" s="18"/>
      <c r="F18" s="19">
        <f>DSUM('AUXILIAR 2'!L2:P13,'AUXILIAR 2'!L2,'AUXILIAR 2'!L22:P23)</f>
        <v>4</v>
      </c>
      <c r="G18" s="16"/>
    </row>
    <row r="19" spans="2:7" ht="15.8" customHeight="1" x14ac:dyDescent="0.25">
      <c r="B19" s="71"/>
      <c r="C19" s="2" t="s">
        <v>53</v>
      </c>
      <c r="D19" s="3">
        <f ca="1">IF(D12="SI",OFFSET('AUXILIAR 3'!$A$2,MATCH(CALCULO!F16,'AUXILIAR 3'!$A$2:$A$18,0)-1,MATCH(CALCULO!C19,'AUXILIAR 3'!$A$2:$I$2,0)-1,1,1)*F6,0)</f>
        <v>0</v>
      </c>
      <c r="E19" s="18"/>
      <c r="F19" s="19"/>
      <c r="G19" s="16"/>
    </row>
    <row r="20" spans="2:7" ht="15.8" customHeight="1" thickBot="1" x14ac:dyDescent="0.3">
      <c r="B20" s="74" t="s">
        <v>72</v>
      </c>
      <c r="C20" s="75"/>
      <c r="D20" s="39">
        <f ca="1">SUM(D16:D19)</f>
        <v>60</v>
      </c>
      <c r="E20" s="18"/>
      <c r="F20" s="19"/>
      <c r="G20" s="16"/>
    </row>
    <row r="21" spans="2:7" ht="15.8" customHeight="1" x14ac:dyDescent="0.25">
      <c r="B21" s="67" t="s">
        <v>77</v>
      </c>
      <c r="C21" s="68"/>
      <c r="D21" s="40">
        <f ca="1">IF(AND($D$11&lt;=5,$E$10&lt;1),IFERROR(OFFSET('AUXILIAR 3'!$A$2,MATCH(CALCULO!F21,'AUXILIAR 3'!$A$2:$A$18,0)-1,2,1,1)*D9,0),0)</f>
        <v>0</v>
      </c>
      <c r="E21" s="18"/>
      <c r="F21" s="16">
        <f>DSUM('AUXILIAR 2'!L2:P13,'AUXILIAR 2'!L2,'AUXILIAR 2'!L25:P26)</f>
        <v>11</v>
      </c>
      <c r="G21" s="16"/>
    </row>
    <row r="22" spans="2:7" ht="15.8" customHeight="1" x14ac:dyDescent="0.25">
      <c r="B22" s="38" t="s">
        <v>54</v>
      </c>
      <c r="C22" s="37" t="s">
        <v>53</v>
      </c>
      <c r="D22" s="3">
        <f>IF(AND($D$12="SI",$E$10&lt;1),D9*15,0)</f>
        <v>0</v>
      </c>
      <c r="E22" s="18"/>
      <c r="F22" s="16"/>
      <c r="G22" s="16"/>
    </row>
    <row r="23" spans="2:7" ht="15.8" customHeight="1" thickBot="1" x14ac:dyDescent="0.3">
      <c r="B23" s="76" t="s">
        <v>73</v>
      </c>
      <c r="C23" s="77"/>
      <c r="D23" s="41">
        <f ca="1">D21+D22</f>
        <v>0</v>
      </c>
      <c r="E23" s="18"/>
      <c r="F23" s="16"/>
      <c r="G23" s="16"/>
    </row>
    <row r="24" spans="2:7" ht="78.8" customHeight="1" x14ac:dyDescent="0.25">
      <c r="B24" s="72" t="s">
        <v>75</v>
      </c>
      <c r="C24" s="73"/>
      <c r="D24" s="42">
        <f ca="1">MIN(D20+D23,D13)</f>
        <v>6</v>
      </c>
      <c r="E24" s="20"/>
      <c r="F24" s="16"/>
      <c r="G24" s="16"/>
    </row>
    <row r="25" spans="2:7" ht="14.95" thickBot="1" x14ac:dyDescent="0.3">
      <c r="B25" s="55" t="s">
        <v>14</v>
      </c>
      <c r="C25" s="56"/>
      <c r="D25" s="4">
        <f ca="1">D24/D13</f>
        <v>1</v>
      </c>
      <c r="E25" s="21"/>
      <c r="F25" s="16"/>
      <c r="G25" s="16"/>
    </row>
    <row r="26" spans="2:7" x14ac:dyDescent="0.25">
      <c r="E26" s="16"/>
      <c r="F26" s="16"/>
      <c r="G26" s="16"/>
    </row>
    <row r="27" spans="2:7" x14ac:dyDescent="0.25">
      <c r="E27" s="16">
        <f>30*4000</f>
        <v>120000</v>
      </c>
      <c r="F27" s="16"/>
      <c r="G27" s="16"/>
    </row>
    <row r="28" spans="2:7" x14ac:dyDescent="0.25">
      <c r="E28" s="16"/>
      <c r="F28" s="16"/>
      <c r="G28" s="16"/>
    </row>
    <row r="29" spans="2:7" x14ac:dyDescent="0.25">
      <c r="E29" s="16"/>
      <c r="F29" s="16"/>
      <c r="G29" s="16"/>
    </row>
    <row r="30" spans="2:7" x14ac:dyDescent="0.25">
      <c r="E30" s="16"/>
      <c r="F30" s="16"/>
      <c r="G30" s="16"/>
    </row>
    <row r="31" spans="2:7" x14ac:dyDescent="0.25">
      <c r="E31" s="16"/>
      <c r="F31" s="16"/>
      <c r="G31" s="16"/>
    </row>
    <row r="32" spans="2:7" x14ac:dyDescent="0.25">
      <c r="E32" s="16">
        <v>2900000</v>
      </c>
      <c r="F32" s="16"/>
      <c r="G32" s="16"/>
    </row>
    <row r="33" spans="5:7" x14ac:dyDescent="0.25">
      <c r="E33" s="16">
        <v>4320000</v>
      </c>
      <c r="F33" s="26">
        <f>E33-E32</f>
        <v>1420000</v>
      </c>
      <c r="G33" s="16"/>
    </row>
    <row r="34" spans="5:7" x14ac:dyDescent="0.25">
      <c r="E34" s="16"/>
      <c r="F34" s="16"/>
      <c r="G34" s="16"/>
    </row>
    <row r="35" spans="5:7" x14ac:dyDescent="0.25">
      <c r="E35" s="16"/>
      <c r="F35" s="16"/>
      <c r="G35" s="16"/>
    </row>
    <row r="36" spans="5:7" x14ac:dyDescent="0.25">
      <c r="E36" s="16"/>
      <c r="F36" s="16"/>
      <c r="G36" s="16"/>
    </row>
    <row r="37" spans="5:7" x14ac:dyDescent="0.25">
      <c r="E37" s="16"/>
      <c r="F37" s="16"/>
      <c r="G37" s="16"/>
    </row>
  </sheetData>
  <sheetProtection algorithmName="SHA-512" hashValue="M21f8Ja3S5+notUkRkCw/d9ySZVmtBQA/f8cgd52fpOQlqzDM084ONuXRiHv2EvQOULiarL+v89v4FPkGA+7Fw==" saltValue="gGsSNyRLYARQ7FmLfc913g==" spinCount="100000" selectLockedCells="1"/>
  <mergeCells count="21">
    <mergeCell ref="B25:C25"/>
    <mergeCell ref="B7:C7"/>
    <mergeCell ref="B8:C8"/>
    <mergeCell ref="B9:C9"/>
    <mergeCell ref="B12:C12"/>
    <mergeCell ref="B13:C13"/>
    <mergeCell ref="B15:D15"/>
    <mergeCell ref="B16:C16"/>
    <mergeCell ref="B21:C21"/>
    <mergeCell ref="B10:C10"/>
    <mergeCell ref="B17:B19"/>
    <mergeCell ref="B24:C24"/>
    <mergeCell ref="B20:C20"/>
    <mergeCell ref="B23:C23"/>
    <mergeCell ref="B6:C6"/>
    <mergeCell ref="B11:C11"/>
    <mergeCell ref="B1:G1"/>
    <mergeCell ref="B3:C3"/>
    <mergeCell ref="B4:C4"/>
    <mergeCell ref="B5:C5"/>
    <mergeCell ref="B2:D2"/>
  </mergeCells>
  <conditionalFormatting sqref="B3:C3 B13:C13 B6:C11">
    <cfRule type="containsText" dxfId="8" priority="12" operator="containsText" text="Dato no necesario">
      <formula>NOT(ISERROR(SEARCH("Dato no necesario",B3)))</formula>
    </cfRule>
  </conditionalFormatting>
  <conditionalFormatting sqref="B4:C4">
    <cfRule type="containsText" dxfId="7" priority="11" operator="containsText" text="Dato no necesario">
      <formula>NOT(ISERROR(SEARCH("Dato no necesario",B4)))</formula>
    </cfRule>
  </conditionalFormatting>
  <conditionalFormatting sqref="B12">
    <cfRule type="containsText" dxfId="6" priority="10" operator="containsText" text="Dato no necesario">
      <formula>NOT(ISERROR(SEARCH("Dato no necesario",B12)))</formula>
    </cfRule>
  </conditionalFormatting>
  <conditionalFormatting sqref="B5:C5">
    <cfRule type="containsText" dxfId="5" priority="9" operator="containsText" text="Dato no necesario">
      <formula>NOT(ISERROR(SEARCH("Dato no necesario",B5)))</formula>
    </cfRule>
  </conditionalFormatting>
  <conditionalFormatting sqref="D13">
    <cfRule type="expression" dxfId="4" priority="7">
      <formula>ISBLANK($D$13)</formula>
    </cfRule>
  </conditionalFormatting>
  <conditionalFormatting sqref="D10">
    <cfRule type="expression" dxfId="3" priority="1">
      <formula>AND($D$9&gt;0,$D$10="")</formula>
    </cfRule>
    <cfRule type="containsText" dxfId="2" priority="3" operator="containsText" text="plomo">
      <formula>NOT(ISERROR(SEARCH("plomo",D10)))</formula>
    </cfRule>
  </conditionalFormatting>
  <conditionalFormatting sqref="B2">
    <cfRule type="containsText" dxfId="1" priority="5" operator="containsText" text="Dato no necesario">
      <formula>NOT(ISERROR(SEARCH("Dato no necesario",B2)))</formula>
    </cfRule>
  </conditionalFormatting>
  <conditionalFormatting sqref="D11">
    <cfRule type="cellIs" dxfId="0" priority="4" operator="greaterThan">
      <formula>5</formula>
    </cfRule>
  </conditionalFormatting>
  <dataValidations count="6">
    <dataValidation type="decimal" operator="greaterThanOrEqual" allowBlank="1" showInputMessage="1" showErrorMessage="1" sqref="D6" xr:uid="{00000000-0002-0000-0000-000000000000}">
      <formula1>0</formula1>
    </dataValidation>
    <dataValidation type="decimal" allowBlank="1" showInputMessage="1" showErrorMessage="1" error="No se puede seleccionar un valor mayor de 100000 kWh" sqref="D9" xr:uid="{00000000-0002-0000-0000-000001000000}">
      <formula1>0</formula1>
      <formula2>100000</formula2>
    </dataValidation>
    <dataValidation type="decimal" operator="greaterThan" showInputMessage="1" showErrorMessage="1" error="Introducir un importe positivo" promptTitle="Indicar el coste total " prompt="Indicar el coste total de la instalación" sqref="D13" xr:uid="{00000000-0002-0000-0000-000002000000}">
      <formula1>0</formula1>
    </dataValidation>
    <dataValidation type="decimal" operator="lessThanOrEqual" allowBlank="1" showInputMessage="1" showErrorMessage="1" error="Este valor debe ser menor o igual a la potencia total instalada" prompt="En el caso de eólica, el valor será 0" sqref="D7" xr:uid="{00000000-0002-0000-0000-000003000000}">
      <formula1>$D$6</formula1>
    </dataValidation>
    <dataValidation type="decimal" operator="lessThanOrEqual" allowBlank="1" showInputMessage="1" showErrorMessage="1" error="Este valor debe ser menor o igual que la potencia total instalada" prompt="En el caso de eólica, el valor será 0" sqref="D8" xr:uid="{00000000-0002-0000-0000-000004000000}">
      <formula1>$D$6</formula1>
    </dataValidation>
    <dataValidation allowBlank="1" showInputMessage="1" showErrorMessage="1" prompt="Si ha introducido capacidad de almacenamiento, deberá indicar la tecnología de la batería" sqref="D10" xr:uid="{00000000-0002-0000-0000-000005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'AUXILIAR 2'!$B$2:$B$3</xm:f>
          </x14:formula1>
          <xm:sqref>D3:E3</xm:sqref>
        </x14:dataValidation>
        <x14:dataValidation type="list" allowBlank="1" showInputMessage="1" showErrorMessage="1" xr:uid="{00000000-0002-0000-0000-000007000000}">
          <x14:formula1>
            <xm:f>'AUXILIAR 2'!$E$2:$E$3</xm:f>
          </x14:formula1>
          <xm:sqref>D4:E4</xm:sqref>
        </x14:dataValidation>
        <x14:dataValidation type="list" allowBlank="1" showInputMessage="1" showErrorMessage="1" xr:uid="{00000000-0002-0000-0000-000008000000}">
          <x14:formula1>
            <xm:f>'AUXILIAR 2'!$I$2:$I$3</xm:f>
          </x14:formula1>
          <xm:sqref>D5:E5 D12:E12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workbookViewId="0">
      <selection activeCell="O26" sqref="O26"/>
    </sheetView>
  </sheetViews>
  <sheetFormatPr baseColWidth="10" defaultColWidth="11.375" defaultRowHeight="14.3" x14ac:dyDescent="0.25"/>
  <cols>
    <col min="1" max="15" width="11.375" style="16"/>
    <col min="16" max="16" width="84.625" style="16" customWidth="1"/>
    <col min="17" max="16384" width="11.375" style="16"/>
  </cols>
  <sheetData>
    <row r="1" spans="2:16" x14ac:dyDescent="0.25">
      <c r="B1" s="27" t="s">
        <v>55</v>
      </c>
      <c r="E1" s="27" t="s">
        <v>56</v>
      </c>
      <c r="I1" s="27" t="s">
        <v>57</v>
      </c>
    </row>
    <row r="2" spans="2:16" x14ac:dyDescent="0.25">
      <c r="B2" s="16" t="s">
        <v>39</v>
      </c>
      <c r="E2" s="16" t="s">
        <v>42</v>
      </c>
      <c r="I2" s="16" t="s">
        <v>47</v>
      </c>
      <c r="L2" s="25" t="s">
        <v>79</v>
      </c>
      <c r="M2" s="25" t="s">
        <v>80</v>
      </c>
      <c r="N2" s="25" t="s">
        <v>58</v>
      </c>
      <c r="O2" s="25" t="s">
        <v>59</v>
      </c>
      <c r="P2" s="25" t="s">
        <v>81</v>
      </c>
    </row>
    <row r="3" spans="2:16" x14ac:dyDescent="0.25">
      <c r="B3" s="16" t="s">
        <v>60</v>
      </c>
      <c r="E3" s="16" t="s">
        <v>40</v>
      </c>
      <c r="I3" s="16" t="s">
        <v>3</v>
      </c>
      <c r="L3" s="16">
        <v>1</v>
      </c>
      <c r="M3" s="16" t="s">
        <v>60</v>
      </c>
      <c r="N3" s="16">
        <v>1000</v>
      </c>
      <c r="O3" s="16">
        <v>5000</v>
      </c>
      <c r="P3" s="28" t="s">
        <v>25</v>
      </c>
    </row>
    <row r="4" spans="2:16" x14ac:dyDescent="0.25">
      <c r="L4" s="16">
        <v>2</v>
      </c>
      <c r="M4" s="16" t="s">
        <v>60</v>
      </c>
      <c r="N4" s="16">
        <v>100</v>
      </c>
      <c r="O4" s="16">
        <v>1000</v>
      </c>
      <c r="P4" s="28" t="s">
        <v>26</v>
      </c>
    </row>
    <row r="5" spans="2:16" x14ac:dyDescent="0.25">
      <c r="L5" s="16">
        <v>3</v>
      </c>
      <c r="M5" s="16" t="s">
        <v>60</v>
      </c>
      <c r="N5" s="16">
        <v>10</v>
      </c>
      <c r="O5" s="16">
        <v>100</v>
      </c>
      <c r="P5" s="28" t="s">
        <v>27</v>
      </c>
    </row>
    <row r="6" spans="2:16" x14ac:dyDescent="0.25">
      <c r="L6" s="16">
        <v>4</v>
      </c>
      <c r="M6" s="16" t="s">
        <v>60</v>
      </c>
      <c r="N6" s="16">
        <v>0</v>
      </c>
      <c r="O6" s="16">
        <v>10</v>
      </c>
      <c r="P6" s="28" t="s">
        <v>28</v>
      </c>
    </row>
    <row r="7" spans="2:16" x14ac:dyDescent="0.25">
      <c r="L7" s="16">
        <v>5</v>
      </c>
      <c r="M7" s="16" t="s">
        <v>39</v>
      </c>
      <c r="N7" s="16">
        <v>500</v>
      </c>
      <c r="O7" s="16">
        <v>5000</v>
      </c>
      <c r="P7" s="28" t="s">
        <v>29</v>
      </c>
    </row>
    <row r="8" spans="2:16" x14ac:dyDescent="0.25">
      <c r="L8" s="16">
        <v>6</v>
      </c>
      <c r="M8" s="16" t="s">
        <v>39</v>
      </c>
      <c r="N8" s="16">
        <v>20</v>
      </c>
      <c r="O8" s="16">
        <v>500</v>
      </c>
      <c r="P8" s="28" t="s">
        <v>30</v>
      </c>
    </row>
    <row r="9" spans="2:16" x14ac:dyDescent="0.25">
      <c r="L9" s="16">
        <v>7</v>
      </c>
      <c r="M9" s="16" t="s">
        <v>39</v>
      </c>
      <c r="N9" s="16">
        <v>0</v>
      </c>
      <c r="O9" s="16">
        <v>20</v>
      </c>
      <c r="P9" s="28" t="s">
        <v>31</v>
      </c>
    </row>
    <row r="10" spans="2:16" ht="40.75" x14ac:dyDescent="0.25">
      <c r="L10" s="16">
        <v>8</v>
      </c>
      <c r="M10" s="29" t="s">
        <v>61</v>
      </c>
      <c r="N10" s="16">
        <v>5000</v>
      </c>
      <c r="O10" s="16">
        <f>N10*100</f>
        <v>500000</v>
      </c>
      <c r="P10" s="28" t="s">
        <v>35</v>
      </c>
    </row>
    <row r="11" spans="2:16" ht="40.75" x14ac:dyDescent="0.25">
      <c r="L11" s="16">
        <v>9</v>
      </c>
      <c r="M11" s="29" t="s">
        <v>61</v>
      </c>
      <c r="N11" s="16">
        <v>100</v>
      </c>
      <c r="O11" s="16">
        <v>5000</v>
      </c>
      <c r="P11" s="28" t="s">
        <v>36</v>
      </c>
    </row>
    <row r="12" spans="2:16" ht="40.75" x14ac:dyDescent="0.25">
      <c r="L12" s="16">
        <v>10</v>
      </c>
      <c r="M12" s="29" t="s">
        <v>61</v>
      </c>
      <c r="N12" s="16">
        <v>10</v>
      </c>
      <c r="O12" s="16">
        <v>100</v>
      </c>
      <c r="P12" s="28" t="s">
        <v>37</v>
      </c>
    </row>
    <row r="13" spans="2:16" ht="40.75" x14ac:dyDescent="0.25">
      <c r="L13" s="16">
        <v>11</v>
      </c>
      <c r="M13" s="29" t="s">
        <v>61</v>
      </c>
      <c r="N13" s="16">
        <v>0</v>
      </c>
      <c r="O13" s="16">
        <v>10</v>
      </c>
      <c r="P13" s="28" t="s">
        <v>38</v>
      </c>
    </row>
    <row r="16" spans="2:16" ht="14.95" x14ac:dyDescent="0.25">
      <c r="L16" s="25" t="s">
        <v>79</v>
      </c>
      <c r="M16" s="25" t="s">
        <v>80</v>
      </c>
      <c r="N16" s="25" t="s">
        <v>58</v>
      </c>
      <c r="O16" s="25" t="s">
        <v>59</v>
      </c>
      <c r="P16" s="25" t="s">
        <v>81</v>
      </c>
    </row>
    <row r="17" spans="12:16" ht="14.95" x14ac:dyDescent="0.25">
      <c r="M17" s="16" t="str">
        <f>CALCULO!D3</f>
        <v>Fotovoltaica</v>
      </c>
      <c r="N17" s="16" t="str">
        <f>"&lt;=" &amp; CALCULO!F6</f>
        <v>&lt;=0,1</v>
      </c>
      <c r="O17" s="16" t="str">
        <f>"&gt;" &amp; CALCULO!F6</f>
        <v>&gt;0,1</v>
      </c>
    </row>
    <row r="19" spans="12:16" ht="14.95" x14ac:dyDescent="0.25">
      <c r="L19" s="25" t="s">
        <v>79</v>
      </c>
      <c r="M19" s="25" t="s">
        <v>80</v>
      </c>
      <c r="N19" s="25" t="s">
        <v>58</v>
      </c>
      <c r="O19" s="25" t="s">
        <v>59</v>
      </c>
      <c r="P19" s="25" t="s">
        <v>81</v>
      </c>
    </row>
    <row r="20" spans="12:16" ht="14.95" x14ac:dyDescent="0.25">
      <c r="M20" s="16" t="str">
        <f>CALCULO!D3</f>
        <v>Fotovoltaica</v>
      </c>
      <c r="N20" s="16" t="str">
        <f>"&lt;=" &amp; CALCULO!F7</f>
        <v>&lt;=0</v>
      </c>
      <c r="O20" s="16" t="str">
        <f>"&gt;" &amp; CALCULO!F7</f>
        <v>&gt;0</v>
      </c>
    </row>
    <row r="22" spans="12:16" ht="14.95" x14ac:dyDescent="0.25">
      <c r="L22" s="25" t="s">
        <v>79</v>
      </c>
      <c r="M22" s="25" t="s">
        <v>80</v>
      </c>
      <c r="N22" s="25" t="s">
        <v>58</v>
      </c>
      <c r="O22" s="25" t="s">
        <v>59</v>
      </c>
      <c r="P22" s="25" t="s">
        <v>81</v>
      </c>
    </row>
    <row r="23" spans="12:16" ht="14.95" x14ac:dyDescent="0.25">
      <c r="M23" s="16" t="str">
        <f>CALCULO!D3</f>
        <v>Fotovoltaica</v>
      </c>
      <c r="N23" s="16" t="str">
        <f>"&lt;=" &amp; CALCULO!F8</f>
        <v>&lt;=0</v>
      </c>
      <c r="O23" s="16" t="str">
        <f>"&gt;" &amp; CALCULO!F8</f>
        <v>&gt;0</v>
      </c>
    </row>
    <row r="25" spans="12:16" ht="14.95" x14ac:dyDescent="0.25">
      <c r="L25" s="25" t="s">
        <v>79</v>
      </c>
      <c r="M25" s="25" t="s">
        <v>80</v>
      </c>
      <c r="N25" s="25" t="s">
        <v>58</v>
      </c>
      <c r="O25" s="25" t="s">
        <v>59</v>
      </c>
      <c r="P25" s="25" t="s">
        <v>81</v>
      </c>
    </row>
    <row r="26" spans="12:16" ht="14.95" x14ac:dyDescent="0.25">
      <c r="M26" s="16" t="s">
        <v>61</v>
      </c>
      <c r="N26" s="16" t="str">
        <f>"&lt;=" &amp; CALCULO!D9</f>
        <v>&lt;=0</v>
      </c>
      <c r="O26" s="16" t="str">
        <f>"&gt;" &amp; CALCULO!D9</f>
        <v>&gt;0</v>
      </c>
    </row>
  </sheetData>
  <sheetProtection algorithmName="SHA-512" hashValue="qI3d6GMPEpfkXkjZhV9LLzXtV5/cpAW0DlrzPmrOaba5ONu5kbKK6g4Ul2xufvaHRnwJ2XAVxH9npg8sS98wsw==" saltValue="fpl8/dEYZwmf3G7oaQV5Zw==" spinCount="100000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opLeftCell="A9" workbookViewId="0">
      <selection activeCell="B19" sqref="B19"/>
    </sheetView>
  </sheetViews>
  <sheetFormatPr baseColWidth="10" defaultColWidth="11.375" defaultRowHeight="43.5" customHeight="1" x14ac:dyDescent="0.25"/>
  <cols>
    <col min="1" max="1" width="11.375" style="25"/>
    <col min="2" max="2" width="81.25" style="16" bestFit="1" customWidth="1"/>
    <col min="3" max="3" width="30" style="16" bestFit="1" customWidth="1"/>
    <col min="4" max="4" width="24.625" style="16" bestFit="1" customWidth="1"/>
    <col min="5" max="5" width="22.375" style="16" bestFit="1" customWidth="1"/>
    <col min="6" max="6" width="24.625" style="16" bestFit="1" customWidth="1"/>
    <col min="7" max="8" width="38.25" style="16" bestFit="1" customWidth="1"/>
    <col min="9" max="9" width="24.25" style="16" bestFit="1" customWidth="1"/>
    <col min="10" max="16384" width="11.375" style="16"/>
  </cols>
  <sheetData>
    <row r="1" spans="1:14" ht="43.5" customHeight="1" x14ac:dyDescent="0.25">
      <c r="C1" s="30" t="s">
        <v>41</v>
      </c>
      <c r="D1" s="30" t="s">
        <v>43</v>
      </c>
      <c r="E1" s="30" t="s">
        <v>45</v>
      </c>
      <c r="F1" s="30" t="s">
        <v>46</v>
      </c>
      <c r="G1" s="30" t="s">
        <v>48</v>
      </c>
      <c r="H1" s="30" t="s">
        <v>50</v>
      </c>
      <c r="I1" s="30" t="s">
        <v>52</v>
      </c>
    </row>
    <row r="2" spans="1:14" ht="43.5" customHeight="1" x14ac:dyDescent="0.25">
      <c r="C2" s="31" t="s">
        <v>42</v>
      </c>
      <c r="D2" s="31" t="s">
        <v>65</v>
      </c>
      <c r="E2" s="31" t="s">
        <v>15</v>
      </c>
      <c r="F2" s="31" t="s">
        <v>62</v>
      </c>
      <c r="G2" s="31" t="s">
        <v>49</v>
      </c>
      <c r="H2" s="31" t="s">
        <v>51</v>
      </c>
      <c r="I2" s="31" t="s">
        <v>53</v>
      </c>
    </row>
    <row r="3" spans="1:14" ht="43.5" customHeight="1" x14ac:dyDescent="0.25">
      <c r="B3" s="78" t="s">
        <v>16</v>
      </c>
      <c r="C3" s="32" t="s">
        <v>17</v>
      </c>
      <c r="D3" s="32" t="s">
        <v>18</v>
      </c>
      <c r="E3" s="32" t="s">
        <v>17</v>
      </c>
      <c r="F3" s="32" t="s">
        <v>18</v>
      </c>
      <c r="G3" s="32" t="s">
        <v>19</v>
      </c>
      <c r="H3" s="32" t="s">
        <v>20</v>
      </c>
      <c r="I3" s="33" t="s">
        <v>21</v>
      </c>
    </row>
    <row r="4" spans="1:14" ht="43.5" customHeight="1" x14ac:dyDescent="0.25">
      <c r="B4" s="79"/>
      <c r="C4" s="34" t="s">
        <v>22</v>
      </c>
      <c r="D4" s="34" t="s">
        <v>22</v>
      </c>
      <c r="E4" s="34" t="s">
        <v>22</v>
      </c>
      <c r="F4" s="34" t="s">
        <v>23</v>
      </c>
      <c r="G4" s="34" t="s">
        <v>24</v>
      </c>
      <c r="H4" s="34" t="s">
        <v>24</v>
      </c>
      <c r="I4" s="34" t="s">
        <v>24</v>
      </c>
    </row>
    <row r="5" spans="1:14" ht="43.5" customHeight="1" x14ac:dyDescent="0.25">
      <c r="A5" s="25">
        <v>1</v>
      </c>
      <c r="B5" s="28" t="s">
        <v>25</v>
      </c>
      <c r="C5" s="35">
        <v>300</v>
      </c>
      <c r="D5" s="35">
        <v>355</v>
      </c>
      <c r="E5" s="35">
        <v>500</v>
      </c>
      <c r="F5" s="35">
        <v>555</v>
      </c>
      <c r="G5" s="35">
        <v>50</v>
      </c>
      <c r="H5" s="35">
        <v>120</v>
      </c>
      <c r="I5" s="35">
        <v>30</v>
      </c>
    </row>
    <row r="6" spans="1:14" ht="43.5" customHeight="1" x14ac:dyDescent="0.25">
      <c r="A6" s="25">
        <v>2</v>
      </c>
      <c r="B6" s="28" t="s">
        <v>26</v>
      </c>
      <c r="C6" s="35">
        <v>350</v>
      </c>
      <c r="D6" s="35">
        <v>420</v>
      </c>
      <c r="E6" s="35">
        <v>650</v>
      </c>
      <c r="F6" s="35">
        <v>720</v>
      </c>
      <c r="G6" s="35">
        <v>110</v>
      </c>
      <c r="H6" s="35">
        <v>120</v>
      </c>
      <c r="I6" s="35">
        <v>35</v>
      </c>
    </row>
    <row r="7" spans="1:14" ht="43.5" customHeight="1" x14ac:dyDescent="0.25">
      <c r="A7" s="25">
        <v>3</v>
      </c>
      <c r="B7" s="28" t="s">
        <v>27</v>
      </c>
      <c r="C7" s="35">
        <v>450</v>
      </c>
      <c r="D7" s="35">
        <v>535</v>
      </c>
      <c r="E7" s="35">
        <v>750</v>
      </c>
      <c r="F7" s="35">
        <v>835</v>
      </c>
      <c r="G7" s="35">
        <v>160</v>
      </c>
      <c r="H7" s="35">
        <v>120</v>
      </c>
      <c r="I7" s="35">
        <v>40</v>
      </c>
    </row>
    <row r="8" spans="1:14" ht="43.5" customHeight="1" x14ac:dyDescent="0.25">
      <c r="A8" s="25">
        <v>4</v>
      </c>
      <c r="B8" s="28" t="s">
        <v>28</v>
      </c>
      <c r="C8" s="35">
        <v>600</v>
      </c>
      <c r="D8" s="35">
        <v>710</v>
      </c>
      <c r="E8" s="36">
        <v>1000</v>
      </c>
      <c r="F8" s="36">
        <v>1110</v>
      </c>
      <c r="G8" s="35">
        <v>160</v>
      </c>
      <c r="H8" s="35">
        <v>120</v>
      </c>
      <c r="I8" s="35">
        <v>55</v>
      </c>
    </row>
    <row r="9" spans="1:14" ht="43.5" customHeight="1" x14ac:dyDescent="0.25">
      <c r="A9" s="25">
        <v>5</v>
      </c>
      <c r="B9" s="28" t="s">
        <v>29</v>
      </c>
      <c r="C9" s="35">
        <v>650</v>
      </c>
      <c r="D9" s="35">
        <v>775</v>
      </c>
      <c r="E9" s="36">
        <v>1150</v>
      </c>
      <c r="F9" s="36">
        <v>1275</v>
      </c>
      <c r="I9" s="35">
        <v>65</v>
      </c>
      <c r="N9" s="16">
        <f>5000*D5</f>
        <v>1775000</v>
      </c>
    </row>
    <row r="10" spans="1:14" ht="43.5" customHeight="1" x14ac:dyDescent="0.25">
      <c r="A10" s="25">
        <v>6</v>
      </c>
      <c r="B10" s="28" t="s">
        <v>30</v>
      </c>
      <c r="C10" s="36">
        <v>1950</v>
      </c>
      <c r="D10" s="36">
        <v>2250</v>
      </c>
      <c r="E10" s="36">
        <v>2700</v>
      </c>
      <c r="F10" s="36">
        <v>3000</v>
      </c>
      <c r="I10" s="35">
        <v>150</v>
      </c>
    </row>
    <row r="11" spans="1:14" ht="43.5" customHeight="1" x14ac:dyDescent="0.25">
      <c r="A11" s="25">
        <v>7</v>
      </c>
      <c r="B11" s="28" t="s">
        <v>31</v>
      </c>
      <c r="C11" s="36">
        <v>2900</v>
      </c>
      <c r="D11" s="36">
        <v>3350</v>
      </c>
      <c r="E11" s="36">
        <v>4100</v>
      </c>
      <c r="F11" s="36">
        <v>4550</v>
      </c>
      <c r="I11" s="35">
        <v>225</v>
      </c>
    </row>
    <row r="13" spans="1:14" ht="43.5" customHeight="1" x14ac:dyDescent="0.25">
      <c r="B13" s="78" t="s">
        <v>16</v>
      </c>
      <c r="C13" s="32" t="s">
        <v>32</v>
      </c>
      <c r="I13" s="33" t="s">
        <v>33</v>
      </c>
    </row>
    <row r="14" spans="1:14" ht="43.5" customHeight="1" x14ac:dyDescent="0.25">
      <c r="B14" s="79"/>
      <c r="C14" s="34" t="s">
        <v>34</v>
      </c>
      <c r="F14" s="16">
        <f>100*E7+100*G7+100*I7</f>
        <v>95000</v>
      </c>
      <c r="I14" s="34" t="s">
        <v>34</v>
      </c>
    </row>
    <row r="15" spans="1:14" ht="43.5" customHeight="1" x14ac:dyDescent="0.25">
      <c r="A15" s="25">
        <v>8</v>
      </c>
      <c r="B15" s="28" t="s">
        <v>35</v>
      </c>
      <c r="C15" s="35">
        <v>140</v>
      </c>
      <c r="I15" s="35">
        <v>15</v>
      </c>
    </row>
    <row r="16" spans="1:14" ht="43.5" customHeight="1" x14ac:dyDescent="0.25">
      <c r="A16" s="25">
        <v>9</v>
      </c>
      <c r="B16" s="28" t="s">
        <v>36</v>
      </c>
      <c r="C16" s="35">
        <v>245</v>
      </c>
      <c r="I16" s="35">
        <v>15</v>
      </c>
    </row>
    <row r="17" spans="1:9" ht="43.5" customHeight="1" x14ac:dyDescent="0.25">
      <c r="A17" s="25">
        <v>10</v>
      </c>
      <c r="B17" s="28" t="s">
        <v>37</v>
      </c>
      <c r="C17" s="35">
        <v>350</v>
      </c>
      <c r="I17" s="35">
        <v>15</v>
      </c>
    </row>
    <row r="18" spans="1:9" ht="43.5" customHeight="1" x14ac:dyDescent="0.25">
      <c r="A18" s="25">
        <v>11</v>
      </c>
      <c r="B18" s="28" t="s">
        <v>38</v>
      </c>
      <c r="C18" s="35">
        <v>490</v>
      </c>
      <c r="I18" s="35">
        <v>15</v>
      </c>
    </row>
  </sheetData>
  <sheetProtection algorithmName="SHA-512" hashValue="2USK6vjhxXXkK8uIrLNvOZp2S8YqfV4Pi2mow1H04RFhg9mRkXUzIF0NZHChGrMtoQf/eGdABfil/PkmMZPUCw==" saltValue="YAbwfHUs5Ncujlu69GFg9w==" spinCount="100000" selectLockedCells="1" selectUnlockedCells="1"/>
  <mergeCells count="2">
    <mergeCell ref="B3:B4"/>
    <mergeCell ref="B13:B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</vt:lpstr>
      <vt:lpstr>AUXILIAR 2</vt:lpstr>
      <vt:lpstr>AUXILIAR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MARTÍ BARRANCO, LAURA</dc:creator>
  <cp:keywords/>
  <dc:description/>
  <cp:lastModifiedBy>usuario</cp:lastModifiedBy>
  <cp:revision/>
  <dcterms:created xsi:type="dcterms:W3CDTF">2021-10-05T13:43:17Z</dcterms:created>
  <dcterms:modified xsi:type="dcterms:W3CDTF">2022-06-13T07:57:51Z</dcterms:modified>
  <cp:category/>
  <cp:contentStatus/>
</cp:coreProperties>
</file>